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36" windowWidth="22692" windowHeight="9264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1" i="1" l="1"/>
  <c r="K19" i="1"/>
  <c r="K18" i="1"/>
  <c r="K17" i="1"/>
  <c r="K14" i="1"/>
  <c r="K13" i="1"/>
  <c r="K10" i="1"/>
  <c r="H17" i="1" l="1"/>
  <c r="L8" i="1"/>
  <c r="L10" i="1"/>
  <c r="L7" i="1"/>
  <c r="K7" i="1"/>
  <c r="K8" i="1" s="1"/>
  <c r="L13" i="1"/>
  <c r="L15" i="1" s="1"/>
  <c r="N14" i="1"/>
  <c r="N18" i="1"/>
  <c r="O15" i="1"/>
  <c r="N17" i="1" s="1"/>
  <c r="N19" i="1" s="1"/>
  <c r="N21" i="1" s="1"/>
  <c r="N15" i="1"/>
  <c r="O14" i="1"/>
  <c r="O13" i="1"/>
  <c r="N13" i="1"/>
  <c r="I13" i="1"/>
  <c r="H13" i="1"/>
  <c r="F13" i="1"/>
  <c r="E13" i="1"/>
  <c r="E18" i="1" s="1"/>
  <c r="C13" i="1"/>
  <c r="C15" i="1" s="1"/>
  <c r="B17" i="1" s="1"/>
  <c r="B13" i="1"/>
  <c r="B18" i="1" s="1"/>
  <c r="I8" i="1"/>
  <c r="I14" i="1" s="1"/>
  <c r="H8" i="1"/>
  <c r="F14" i="1"/>
  <c r="E14" i="1"/>
  <c r="F15" i="1"/>
  <c r="E17" i="1" s="1"/>
  <c r="F8" i="1"/>
  <c r="E8" i="1"/>
  <c r="C14" i="1"/>
  <c r="B14" i="1"/>
  <c r="C11" i="1"/>
  <c r="B11" i="1"/>
  <c r="L14" i="1" l="1"/>
  <c r="E15" i="1"/>
  <c r="E19" i="1"/>
  <c r="E21" i="1" s="1"/>
  <c r="B19" i="1"/>
  <c r="B21" i="1" s="1"/>
  <c r="B15" i="1"/>
  <c r="I15" i="1"/>
  <c r="H15" i="1"/>
  <c r="H18" i="1"/>
  <c r="H14" i="1"/>
  <c r="K15" i="1" l="1"/>
  <c r="H19" i="1"/>
  <c r="H21" i="1" s="1"/>
</calcChain>
</file>

<file path=xl/sharedStrings.xml><?xml version="1.0" encoding="utf-8"?>
<sst xmlns="http://schemas.openxmlformats.org/spreadsheetml/2006/main" count="41" uniqueCount="33">
  <si>
    <t>High-Level Comparisons - Overhead at Berkeley</t>
  </si>
  <si>
    <t>Research</t>
  </si>
  <si>
    <t>Overhead</t>
  </si>
  <si>
    <t>Non-Instructional Salaries</t>
  </si>
  <si>
    <t>Library</t>
  </si>
  <si>
    <t>UCB</t>
  </si>
  <si>
    <t>UCSB</t>
  </si>
  <si>
    <t>Research Overhead</t>
  </si>
  <si>
    <t>Effective Overhead Rate</t>
  </si>
  <si>
    <t>Total Wages in Analysis</t>
  </si>
  <si>
    <t>OH using UCSB's OH rate</t>
  </si>
  <si>
    <t>UCB OH from above</t>
  </si>
  <si>
    <t>Benefit Rate</t>
  </si>
  <si>
    <t>Auxilliary</t>
  </si>
  <si>
    <t>in $Ms</t>
  </si>
  <si>
    <t>OCFO Analysis using Similar Methodology - Total Wages</t>
  </si>
  <si>
    <t>2014 IPEDs Data</t>
  </si>
  <si>
    <t>Recalcuated from Overhead at Berkeley Whitepaper</t>
  </si>
  <si>
    <t>Professor Rao's Methodology</t>
  </si>
  <si>
    <t>Professor Rao's Methodology - Regular Wages</t>
  </si>
  <si>
    <t>Professor Rao's Methodology - Total Wages</t>
  </si>
  <si>
    <t>Using Professor Rao's Categorizations - Regular Wages</t>
  </si>
  <si>
    <t>2014 State of California Data</t>
  </si>
  <si>
    <t>2015 State of California Data</t>
  </si>
  <si>
    <t>Using Agreed Upon Data Set</t>
  </si>
  <si>
    <t>Notes</t>
  </si>
  <si>
    <t>Calculated amount based on difference between total wages and Instructional wages</t>
  </si>
  <si>
    <t>Differences are due to the type of wages being evaluated</t>
  </si>
  <si>
    <t>Differences are a mix of the type of wages being evaluated (Regular Pay vs. Total Pay; $60M for Berkeley #s) and the  differences in the classification of Instructional Titles ($19M for Berkeley #s)</t>
  </si>
  <si>
    <t>Differences are a mix of the type of wages being evaluated (Regular Pay vs. Total Pay; $53M for Berkeley #s) and the  differences in the classification of Instructional Titles ($6M for Berkeley #s)</t>
  </si>
  <si>
    <t>Instructional Salaries</t>
  </si>
  <si>
    <t>(Savings)/Potential Incresese with Benefits</t>
  </si>
  <si>
    <t>(Savings)/Potential Increases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</si>
</sst>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&quot;$&quot;* #,##0.0_);_(&quot;$&quot;* \(#,##0.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theme="0" tint="-0.24994659260841701"/>
      </right>
      <top/>
      <bottom/>
      <diagonal/>
    </border>
    <border>
      <left/>
      <right style="medium">
        <color theme="0" tint="-0.24994659260841701"/>
      </right>
      <top/>
      <bottom style="medium">
        <color indexed="64"/>
      </bottom>
      <diagonal/>
    </border>
    <border>
      <left style="medium">
        <color theme="0" tint="-0.24994659260841701"/>
      </left>
      <right/>
      <top/>
      <bottom/>
      <diagonal/>
    </border>
    <border>
      <left style="medium">
        <color theme="0" tint="-0.24994659260841701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/>
      <right style="medium">
        <color indexed="64"/>
      </right>
      <top/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0" xfId="0" applyAlignment="1">
      <alignment vertical="top"/>
    </xf>
    <xf numFmtId="165" fontId="0" fillId="0" borderId="4" xfId="2" applyNumberFormat="1" applyFont="1" applyBorder="1" applyAlignment="1">
      <alignment vertical="top"/>
    </xf>
    <xf numFmtId="165" fontId="0" fillId="0" borderId="0" xfId="2" applyNumberFormat="1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 wrapText="1"/>
    </xf>
    <xf numFmtId="164" fontId="0" fillId="0" borderId="4" xfId="1" applyNumberFormat="1" applyFont="1" applyBorder="1" applyAlignment="1">
      <alignment vertical="top"/>
    </xf>
    <xf numFmtId="164" fontId="0" fillId="0" borderId="0" xfId="1" applyNumberFormat="1" applyFont="1" applyBorder="1" applyAlignment="1">
      <alignment vertical="top"/>
    </xf>
    <xf numFmtId="164" fontId="0" fillId="0" borderId="5" xfId="1" applyNumberFormat="1" applyFont="1" applyBorder="1" applyAlignment="1">
      <alignment vertical="top"/>
    </xf>
    <xf numFmtId="0" fontId="0" fillId="0" borderId="0" xfId="0" applyAlignment="1">
      <alignment horizontal="left" vertical="top"/>
    </xf>
    <xf numFmtId="9" fontId="0" fillId="0" borderId="4" xfId="3" applyFont="1" applyBorder="1" applyAlignment="1">
      <alignment vertical="top"/>
    </xf>
    <xf numFmtId="9" fontId="0" fillId="0" borderId="0" xfId="3" applyFont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165" fontId="0" fillId="0" borderId="0" xfId="2" applyNumberFormat="1" applyFont="1" applyAlignment="1">
      <alignment vertical="top"/>
    </xf>
    <xf numFmtId="37" fontId="0" fillId="0" borderId="0" xfId="0" applyNumberFormat="1" applyAlignment="1">
      <alignment vertical="top"/>
    </xf>
    <xf numFmtId="0" fontId="0" fillId="0" borderId="9" xfId="0" applyBorder="1" applyAlignment="1">
      <alignment vertical="top"/>
    </xf>
    <xf numFmtId="165" fontId="0" fillId="0" borderId="11" xfId="2" applyNumberFormat="1" applyFont="1" applyBorder="1" applyAlignment="1">
      <alignment vertical="top"/>
    </xf>
    <xf numFmtId="164" fontId="0" fillId="0" borderId="11" xfId="1" applyNumberFormat="1" applyFont="1" applyBorder="1" applyAlignment="1">
      <alignment vertical="top"/>
    </xf>
    <xf numFmtId="9" fontId="0" fillId="0" borderId="11" xfId="3" applyFont="1" applyBorder="1" applyAlignment="1">
      <alignment vertical="top"/>
    </xf>
    <xf numFmtId="0" fontId="0" fillId="0" borderId="11" xfId="0" applyBorder="1" applyAlignment="1">
      <alignment vertical="top"/>
    </xf>
    <xf numFmtId="164" fontId="0" fillId="0" borderId="9" xfId="1" applyNumberFormat="1" applyFont="1" applyBorder="1" applyAlignment="1">
      <alignment vertical="top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1" xfId="0" applyFont="1" applyBorder="1"/>
    <xf numFmtId="0" fontId="2" fillId="0" borderId="21" xfId="0" applyFont="1" applyBorder="1" applyAlignment="1">
      <alignment horizontal="center" wrapText="1"/>
    </xf>
    <xf numFmtId="0" fontId="2" fillId="0" borderId="0" xfId="0" applyFont="1"/>
    <xf numFmtId="0" fontId="2" fillId="0" borderId="5" xfId="0" applyFont="1" applyBorder="1" applyAlignment="1">
      <alignment wrapText="1"/>
    </xf>
    <xf numFmtId="0" fontId="4" fillId="0" borderId="0" xfId="0" applyFont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0" xfId="0" applyAlignment="1">
      <alignment horizontal="left" vertical="top" indent="1"/>
    </xf>
    <xf numFmtId="0" fontId="2" fillId="0" borderId="0" xfId="0" applyFont="1" applyAlignment="1">
      <alignment horizontal="left" vertical="top"/>
    </xf>
    <xf numFmtId="165" fontId="2" fillId="0" borderId="4" xfId="2" applyNumberFormat="1" applyFont="1" applyBorder="1" applyAlignment="1">
      <alignment vertical="top"/>
    </xf>
    <xf numFmtId="165" fontId="2" fillId="0" borderId="0" xfId="2" applyNumberFormat="1" applyFont="1" applyBorder="1" applyAlignment="1">
      <alignment vertical="top"/>
    </xf>
    <xf numFmtId="0" fontId="2" fillId="0" borderId="9" xfId="0" applyFont="1" applyBorder="1" applyAlignment="1">
      <alignment vertical="top"/>
    </xf>
    <xf numFmtId="165" fontId="2" fillId="0" borderId="11" xfId="2" applyNumberFormat="1" applyFont="1" applyBorder="1" applyAlignment="1">
      <alignment vertical="top"/>
    </xf>
    <xf numFmtId="165" fontId="2" fillId="0" borderId="5" xfId="2" applyNumberFormat="1" applyFont="1" applyBorder="1" applyAlignment="1">
      <alignment vertical="top"/>
    </xf>
    <xf numFmtId="0" fontId="2" fillId="0" borderId="0" xfId="0" applyFont="1" applyAlignment="1">
      <alignment vertical="top"/>
    </xf>
    <xf numFmtId="165" fontId="2" fillId="0" borderId="9" xfId="2" applyNumberFormat="1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164" fontId="2" fillId="0" borderId="4" xfId="1" applyNumberFormat="1" applyFont="1" applyBorder="1" applyAlignment="1">
      <alignment vertical="top"/>
    </xf>
    <xf numFmtId="164" fontId="2" fillId="0" borderId="0" xfId="1" applyNumberFormat="1" applyFont="1" applyBorder="1" applyAlignment="1">
      <alignment vertical="top"/>
    </xf>
    <xf numFmtId="164" fontId="2" fillId="0" borderId="11" xfId="1" applyNumberFormat="1" applyFont="1" applyBorder="1" applyAlignment="1">
      <alignment vertical="top"/>
    </xf>
    <xf numFmtId="164" fontId="2" fillId="0" borderId="5" xfId="1" applyNumberFormat="1" applyFont="1" applyBorder="1" applyAlignment="1">
      <alignment vertical="top"/>
    </xf>
    <xf numFmtId="9" fontId="2" fillId="0" borderId="4" xfId="3" applyFont="1" applyBorder="1" applyAlignment="1">
      <alignment vertical="top"/>
    </xf>
    <xf numFmtId="9" fontId="2" fillId="0" borderId="0" xfId="3" applyFont="1" applyBorder="1" applyAlignment="1">
      <alignment vertical="top"/>
    </xf>
    <xf numFmtId="9" fontId="2" fillId="0" borderId="11" xfId="3" applyFont="1" applyBorder="1" applyAlignment="1">
      <alignment vertical="top"/>
    </xf>
    <xf numFmtId="9" fontId="2" fillId="0" borderId="5" xfId="3" applyFont="1" applyBorder="1" applyAlignment="1">
      <alignment vertical="top"/>
    </xf>
    <xf numFmtId="9" fontId="2" fillId="0" borderId="9" xfId="3" applyFont="1" applyBorder="1" applyAlignment="1">
      <alignment vertical="top"/>
    </xf>
    <xf numFmtId="0" fontId="2" fillId="0" borderId="0" xfId="0" applyFont="1" applyAlignment="1">
      <alignment horizontal="left" vertical="top" indent="1"/>
    </xf>
    <xf numFmtId="164" fontId="2" fillId="0" borderId="9" xfId="1" applyNumberFormat="1" applyFont="1" applyBorder="1" applyAlignment="1">
      <alignment vertical="top"/>
    </xf>
    <xf numFmtId="165" fontId="2" fillId="0" borderId="6" xfId="2" applyNumberFormat="1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165" fontId="2" fillId="0" borderId="12" xfId="2" applyNumberFormat="1" applyFont="1" applyBorder="1" applyAlignment="1">
      <alignment vertical="top"/>
    </xf>
    <xf numFmtId="165" fontId="2" fillId="0" borderId="7" xfId="2" applyNumberFormat="1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8" xfId="0" applyFont="1" applyBorder="1" applyAlignment="1">
      <alignment vertical="top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workbookViewId="0">
      <selection activeCell="E23" sqref="E23"/>
    </sheetView>
  </sheetViews>
  <sheetFormatPr defaultRowHeight="14.4" x14ac:dyDescent="0.3"/>
  <cols>
    <col min="1" max="1" width="36" bestFit="1" customWidth="1"/>
    <col min="2" max="3" width="12.5546875" customWidth="1"/>
    <col min="4" max="4" width="1.33203125" customWidth="1"/>
    <col min="5" max="6" width="12.5546875" customWidth="1"/>
    <col min="7" max="7" width="1.33203125" customWidth="1"/>
    <col min="8" max="9" width="12.5546875" customWidth="1"/>
    <col min="10" max="10" width="1.44140625" customWidth="1"/>
    <col min="11" max="12" width="15.21875" customWidth="1"/>
    <col min="13" max="13" width="1.44140625" customWidth="1"/>
    <col min="14" max="15" width="15.21875" customWidth="1"/>
    <col min="16" max="16" width="1.21875" customWidth="1"/>
    <col min="17" max="17" width="55.5546875" customWidth="1"/>
    <col min="18" max="18" width="14.5546875" bestFit="1" customWidth="1"/>
    <col min="19" max="20" width="11.44140625" bestFit="1" customWidth="1"/>
  </cols>
  <sheetData>
    <row r="1" spans="1:17" ht="18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5" thickBot="1" x14ac:dyDescent="0.35"/>
    <row r="3" spans="1:17" x14ac:dyDescent="0.3">
      <c r="B3" s="3" t="s">
        <v>17</v>
      </c>
      <c r="C3" s="4"/>
      <c r="D3" s="4"/>
      <c r="E3" s="4"/>
      <c r="F3" s="4"/>
      <c r="G3" s="4"/>
      <c r="H3" s="4"/>
      <c r="I3" s="5"/>
      <c r="K3" s="6" t="s">
        <v>24</v>
      </c>
      <c r="L3" s="7"/>
      <c r="M3" s="7"/>
      <c r="N3" s="7"/>
      <c r="O3" s="7"/>
      <c r="P3" s="7"/>
      <c r="Q3" s="8"/>
    </row>
    <row r="4" spans="1:17" ht="15" thickBot="1" x14ac:dyDescent="0.35">
      <c r="B4" s="30" t="s">
        <v>16</v>
      </c>
      <c r="C4" s="31"/>
      <c r="D4" s="32"/>
      <c r="E4" s="31" t="s">
        <v>23</v>
      </c>
      <c r="F4" s="31"/>
      <c r="G4" s="31"/>
      <c r="H4" s="31"/>
      <c r="I4" s="33"/>
      <c r="J4" s="1"/>
      <c r="K4" s="30" t="s">
        <v>22</v>
      </c>
      <c r="L4" s="31"/>
      <c r="M4" s="31"/>
      <c r="N4" s="31"/>
      <c r="O4" s="31"/>
      <c r="P4" s="31"/>
      <c r="Q4" s="33"/>
    </row>
    <row r="5" spans="1:17" ht="28.8" customHeight="1" thickBot="1" x14ac:dyDescent="0.35">
      <c r="A5" s="43" t="s">
        <v>14</v>
      </c>
      <c r="B5" s="34" t="s">
        <v>18</v>
      </c>
      <c r="C5" s="35"/>
      <c r="D5" s="36"/>
      <c r="E5" s="37" t="s">
        <v>19</v>
      </c>
      <c r="F5" s="35"/>
      <c r="G5" s="36"/>
      <c r="H5" s="35" t="s">
        <v>20</v>
      </c>
      <c r="I5" s="40"/>
      <c r="K5" s="34" t="s">
        <v>21</v>
      </c>
      <c r="L5" s="35"/>
      <c r="M5" s="36"/>
      <c r="N5" s="37" t="s">
        <v>15</v>
      </c>
      <c r="O5" s="35"/>
      <c r="P5" s="38"/>
      <c r="Q5" s="39" t="s">
        <v>25</v>
      </c>
    </row>
    <row r="6" spans="1:17" s="41" customFormat="1" ht="15" thickBot="1" x14ac:dyDescent="0.35">
      <c r="B6" s="44" t="s">
        <v>5</v>
      </c>
      <c r="C6" s="45" t="s">
        <v>6</v>
      </c>
      <c r="D6" s="36"/>
      <c r="E6" s="46" t="s">
        <v>5</v>
      </c>
      <c r="F6" s="45" t="s">
        <v>6</v>
      </c>
      <c r="G6" s="36"/>
      <c r="H6" s="45" t="s">
        <v>5</v>
      </c>
      <c r="I6" s="47" t="s">
        <v>6</v>
      </c>
      <c r="K6" s="44" t="s">
        <v>5</v>
      </c>
      <c r="L6" s="45" t="s">
        <v>6</v>
      </c>
      <c r="M6" s="36"/>
      <c r="N6" s="46" t="s">
        <v>5</v>
      </c>
      <c r="O6" s="45" t="s">
        <v>6</v>
      </c>
      <c r="P6" s="48"/>
      <c r="Q6" s="42"/>
    </row>
    <row r="7" spans="1:17" s="56" customFormat="1" ht="45" customHeight="1" x14ac:dyDescent="0.3">
      <c r="A7" s="56" t="s">
        <v>30</v>
      </c>
      <c r="B7" s="51">
        <v>232</v>
      </c>
      <c r="C7" s="52">
        <v>112</v>
      </c>
      <c r="D7" s="53"/>
      <c r="E7" s="54">
        <v>379</v>
      </c>
      <c r="F7" s="52">
        <v>173</v>
      </c>
      <c r="G7" s="53"/>
      <c r="H7" s="52">
        <v>440</v>
      </c>
      <c r="I7" s="55">
        <v>194</v>
      </c>
      <c r="K7" s="51">
        <f>(260300614)/1000000</f>
        <v>260.300614</v>
      </c>
      <c r="L7" s="52">
        <f>131804585/1000000</f>
        <v>131.804585</v>
      </c>
      <c r="M7" s="53"/>
      <c r="N7" s="54">
        <v>338.37034999999997</v>
      </c>
      <c r="O7" s="52">
        <v>156.17019400000001</v>
      </c>
      <c r="P7" s="57"/>
      <c r="Q7" s="59" t="s">
        <v>28</v>
      </c>
    </row>
    <row r="8" spans="1:17" s="9" customFormat="1" ht="28.8" x14ac:dyDescent="0.3">
      <c r="A8" s="56" t="s">
        <v>3</v>
      </c>
      <c r="B8" s="60">
        <v>653</v>
      </c>
      <c r="C8" s="61">
        <v>208</v>
      </c>
      <c r="D8" s="53"/>
      <c r="E8" s="62">
        <f>1082-E7</f>
        <v>703</v>
      </c>
      <c r="F8" s="61">
        <f>415-F7</f>
        <v>242</v>
      </c>
      <c r="G8" s="53"/>
      <c r="H8" s="61">
        <f>1185-H7</f>
        <v>745</v>
      </c>
      <c r="I8" s="63">
        <f>447-I7</f>
        <v>253</v>
      </c>
      <c r="J8" s="56"/>
      <c r="K8" s="60">
        <f>1055331067/1000000-K7</f>
        <v>795.03045300000008</v>
      </c>
      <c r="L8" s="61">
        <f>398401387/1000000-L7</f>
        <v>266.59680200000003</v>
      </c>
      <c r="M8" s="53"/>
      <c r="N8" s="62">
        <v>816.53316099999995</v>
      </c>
      <c r="O8" s="61">
        <v>272.34327000000002</v>
      </c>
      <c r="P8" s="29"/>
      <c r="Q8" s="13" t="s">
        <v>26</v>
      </c>
    </row>
    <row r="9" spans="1:17" s="9" customFormat="1" x14ac:dyDescent="0.3">
      <c r="A9" s="49" t="s">
        <v>13</v>
      </c>
      <c r="B9" s="14">
        <v>0</v>
      </c>
      <c r="C9" s="15">
        <v>0</v>
      </c>
      <c r="D9" s="24"/>
      <c r="E9" s="26"/>
      <c r="F9" s="15"/>
      <c r="G9" s="24"/>
      <c r="H9" s="15">
        <v>46</v>
      </c>
      <c r="I9" s="16">
        <v>36</v>
      </c>
      <c r="K9" s="14">
        <v>0</v>
      </c>
      <c r="L9" s="15">
        <v>0</v>
      </c>
      <c r="M9" s="24"/>
      <c r="N9" s="26">
        <v>0</v>
      </c>
      <c r="O9" s="15">
        <v>0</v>
      </c>
      <c r="P9" s="29"/>
      <c r="Q9" s="13"/>
    </row>
    <row r="10" spans="1:17" s="9" customFormat="1" ht="45.6" customHeight="1" x14ac:dyDescent="0.3">
      <c r="A10" s="49" t="s">
        <v>1</v>
      </c>
      <c r="B10" s="14">
        <v>82</v>
      </c>
      <c r="C10" s="15">
        <v>25</v>
      </c>
      <c r="D10" s="24"/>
      <c r="E10" s="26"/>
      <c r="F10" s="15"/>
      <c r="G10" s="24"/>
      <c r="H10" s="15"/>
      <c r="I10" s="16"/>
      <c r="K10" s="14">
        <f>(146953270)/1000000</f>
        <v>146.95327</v>
      </c>
      <c r="L10" s="15">
        <f>(41716802+39998640)/1000000</f>
        <v>81.715441999999996</v>
      </c>
      <c r="M10" s="24"/>
      <c r="N10" s="26">
        <v>206.866141</v>
      </c>
      <c r="O10" s="15">
        <v>53.929746999999999</v>
      </c>
      <c r="P10" s="29"/>
      <c r="Q10" s="13" t="s">
        <v>29</v>
      </c>
    </row>
    <row r="11" spans="1:17" s="9" customFormat="1" x14ac:dyDescent="0.3">
      <c r="A11" s="49" t="s">
        <v>7</v>
      </c>
      <c r="B11" s="14">
        <f>0.57*B10</f>
        <v>46.739999999999995</v>
      </c>
      <c r="C11" s="15">
        <f>0.57*C10</f>
        <v>14.249999999999998</v>
      </c>
      <c r="D11" s="24"/>
      <c r="E11" s="26"/>
      <c r="F11" s="15"/>
      <c r="G11" s="24"/>
      <c r="H11" s="15"/>
      <c r="I11" s="16"/>
      <c r="K11" s="14"/>
      <c r="L11" s="15"/>
      <c r="M11" s="24"/>
      <c r="N11" s="26"/>
      <c r="O11" s="15"/>
      <c r="P11" s="29"/>
      <c r="Q11" s="13"/>
    </row>
    <row r="12" spans="1:17" s="9" customFormat="1" x14ac:dyDescent="0.3">
      <c r="A12" s="49" t="s">
        <v>4</v>
      </c>
      <c r="B12" s="14">
        <v>25</v>
      </c>
      <c r="C12" s="15">
        <v>4</v>
      </c>
      <c r="D12" s="24"/>
      <c r="E12" s="26"/>
      <c r="F12" s="15"/>
      <c r="G12" s="24"/>
      <c r="H12" s="15"/>
      <c r="I12" s="16"/>
      <c r="K12" s="14"/>
      <c r="L12" s="15"/>
      <c r="M12" s="24"/>
      <c r="N12" s="26"/>
      <c r="O12" s="15"/>
      <c r="P12" s="29"/>
      <c r="Q12" s="13"/>
    </row>
    <row r="13" spans="1:17" s="56" customFormat="1" x14ac:dyDescent="0.3">
      <c r="A13" s="69" t="s">
        <v>2</v>
      </c>
      <c r="B13" s="60">
        <f>B8-SUM(B9:B12)</f>
        <v>499.26</v>
      </c>
      <c r="C13" s="61">
        <f>C8-SUM(C9:C12)</f>
        <v>164.75</v>
      </c>
      <c r="D13" s="53"/>
      <c r="E13" s="62">
        <f>E8-SUM(E9:E12)</f>
        <v>703</v>
      </c>
      <c r="F13" s="61">
        <f>F8-SUM(F9:F12)</f>
        <v>242</v>
      </c>
      <c r="G13" s="53"/>
      <c r="H13" s="61">
        <f>H8-SUM(H9:H12)</f>
        <v>699</v>
      </c>
      <c r="I13" s="63">
        <f>I8-SUM(I9:I12)</f>
        <v>217</v>
      </c>
      <c r="K13" s="60">
        <f>K8-SUM(K9:K12)</f>
        <v>648.0771830000001</v>
      </c>
      <c r="L13" s="61">
        <f>L8-SUM(L9:L12)</f>
        <v>184.88136000000003</v>
      </c>
      <c r="M13" s="53"/>
      <c r="N13" s="62">
        <f>N8-SUM(N9:N12)</f>
        <v>609.66701999999998</v>
      </c>
      <c r="O13" s="61">
        <f>O8-SUM(O9:O12)</f>
        <v>218.41352300000003</v>
      </c>
      <c r="P13" s="70"/>
      <c r="Q13" s="58"/>
    </row>
    <row r="14" spans="1:17" s="56" customFormat="1" x14ac:dyDescent="0.3">
      <c r="A14" s="50" t="s">
        <v>9</v>
      </c>
      <c r="B14" s="51">
        <f>B7+B8</f>
        <v>885</v>
      </c>
      <c r="C14" s="52">
        <f>C7+C8</f>
        <v>320</v>
      </c>
      <c r="D14" s="53"/>
      <c r="E14" s="54">
        <f>E7+E8</f>
        <v>1082</v>
      </c>
      <c r="F14" s="52">
        <f>F7+F8</f>
        <v>415</v>
      </c>
      <c r="G14" s="53"/>
      <c r="H14" s="52">
        <f>H7+H8</f>
        <v>1185</v>
      </c>
      <c r="I14" s="55">
        <f>I7+I8</f>
        <v>447</v>
      </c>
      <c r="K14" s="51">
        <f>K7+K8</f>
        <v>1055.3310670000001</v>
      </c>
      <c r="L14" s="52">
        <f>L7+L8</f>
        <v>398.401387</v>
      </c>
      <c r="M14" s="53"/>
      <c r="N14" s="54">
        <f>N7+N8</f>
        <v>1154.903511</v>
      </c>
      <c r="O14" s="52">
        <f>O7+O8</f>
        <v>428.513464</v>
      </c>
      <c r="P14" s="57"/>
      <c r="Q14" s="59" t="s">
        <v>27</v>
      </c>
    </row>
    <row r="15" spans="1:17" s="56" customFormat="1" x14ac:dyDescent="0.3">
      <c r="A15" s="50" t="s">
        <v>8</v>
      </c>
      <c r="B15" s="64">
        <f>B13/B7</f>
        <v>2.1519827586206897</v>
      </c>
      <c r="C15" s="65">
        <f>C13/C7</f>
        <v>1.4709821428571428</v>
      </c>
      <c r="D15" s="53"/>
      <c r="E15" s="66">
        <f>E13/E7</f>
        <v>1.8548812664907652</v>
      </c>
      <c r="F15" s="65">
        <f>F13/F7</f>
        <v>1.3988439306358382</v>
      </c>
      <c r="G15" s="53"/>
      <c r="H15" s="65">
        <f>H13/H7</f>
        <v>1.5886363636363636</v>
      </c>
      <c r="I15" s="67">
        <f>I13/I7</f>
        <v>1.1185567010309279</v>
      </c>
      <c r="K15" s="64">
        <f>K13/K7</f>
        <v>2.489725909751408</v>
      </c>
      <c r="L15" s="65">
        <f>L13/L7</f>
        <v>1.4026929336335305</v>
      </c>
      <c r="M15" s="53"/>
      <c r="N15" s="66">
        <f>N13/N7</f>
        <v>1.801774357593684</v>
      </c>
      <c r="O15" s="65">
        <f>O13/O7</f>
        <v>1.3985608739142632</v>
      </c>
      <c r="P15" s="68"/>
      <c r="Q15" s="58"/>
    </row>
    <row r="16" spans="1:17" s="9" customFormat="1" x14ac:dyDescent="0.3">
      <c r="B16" s="20"/>
      <c r="C16" s="12"/>
      <c r="D16" s="24"/>
      <c r="E16" s="28"/>
      <c r="F16" s="12"/>
      <c r="G16" s="24"/>
      <c r="H16" s="12"/>
      <c r="I16" s="21"/>
      <c r="K16" s="20"/>
      <c r="L16" s="12"/>
      <c r="M16" s="24"/>
      <c r="N16" s="28"/>
      <c r="O16" s="12"/>
      <c r="P16" s="24"/>
      <c r="Q16" s="13"/>
    </row>
    <row r="17" spans="1:20" s="9" customFormat="1" x14ac:dyDescent="0.3">
      <c r="A17" s="9" t="s">
        <v>10</v>
      </c>
      <c r="B17" s="10">
        <f>C15*B7</f>
        <v>341.26785714285711</v>
      </c>
      <c r="C17" s="12"/>
      <c r="D17" s="24"/>
      <c r="E17" s="25">
        <f>F15*E7</f>
        <v>530.16184971098266</v>
      </c>
      <c r="F17" s="12"/>
      <c r="G17" s="24"/>
      <c r="H17" s="22">
        <f>I15*H7</f>
        <v>492.16494845360825</v>
      </c>
      <c r="I17" s="21"/>
      <c r="K17" s="10">
        <f>L15*K7</f>
        <v>365.12183187826923</v>
      </c>
      <c r="L17" s="12"/>
      <c r="M17" s="24"/>
      <c r="N17" s="25">
        <f>O15*N7</f>
        <v>473.2315324026751</v>
      </c>
      <c r="O17" s="12"/>
      <c r="P17" s="24"/>
      <c r="Q17" s="13"/>
    </row>
    <row r="18" spans="1:20" s="9" customFormat="1" x14ac:dyDescent="0.3">
      <c r="A18" s="9" t="s">
        <v>11</v>
      </c>
      <c r="B18" s="14">
        <f>B13</f>
        <v>499.26</v>
      </c>
      <c r="C18" s="12"/>
      <c r="D18" s="24"/>
      <c r="E18" s="26">
        <f>E13</f>
        <v>703</v>
      </c>
      <c r="F18" s="12"/>
      <c r="G18" s="24"/>
      <c r="H18" s="15">
        <f>H13</f>
        <v>699</v>
      </c>
      <c r="I18" s="21"/>
      <c r="K18" s="14">
        <f>K13</f>
        <v>648.0771830000001</v>
      </c>
      <c r="L18" s="12"/>
      <c r="M18" s="24"/>
      <c r="N18" s="26">
        <f>N13</f>
        <v>609.66701999999998</v>
      </c>
      <c r="O18" s="12"/>
      <c r="P18" s="24"/>
      <c r="Q18" s="13"/>
    </row>
    <row r="19" spans="1:20" s="9" customFormat="1" x14ac:dyDescent="0.3">
      <c r="A19" s="9" t="s">
        <v>32</v>
      </c>
      <c r="B19" s="10">
        <f>B17-B18</f>
        <v>-157.99214285714288</v>
      </c>
      <c r="C19" s="12"/>
      <c r="D19" s="24"/>
      <c r="E19" s="25">
        <f>E17-E18</f>
        <v>-172.83815028901734</v>
      </c>
      <c r="F19" s="12"/>
      <c r="G19" s="24"/>
      <c r="H19" s="11">
        <f>H17-H18</f>
        <v>-206.83505154639175</v>
      </c>
      <c r="I19" s="21"/>
      <c r="K19" s="10">
        <f>K17-K18</f>
        <v>-282.95535112173087</v>
      </c>
      <c r="L19" s="12"/>
      <c r="M19" s="24"/>
      <c r="N19" s="25">
        <f>N17-N18</f>
        <v>-136.43548759732488</v>
      </c>
      <c r="O19" s="12"/>
      <c r="P19" s="24"/>
      <c r="Q19" s="13"/>
    </row>
    <row r="20" spans="1:20" s="9" customFormat="1" x14ac:dyDescent="0.3">
      <c r="A20" s="9" t="s">
        <v>12</v>
      </c>
      <c r="B20" s="18">
        <v>0.36</v>
      </c>
      <c r="C20" s="12"/>
      <c r="D20" s="24"/>
      <c r="E20" s="27">
        <v>0.36</v>
      </c>
      <c r="F20" s="12"/>
      <c r="G20" s="24"/>
      <c r="H20" s="19">
        <v>0.36</v>
      </c>
      <c r="I20" s="21"/>
      <c r="K20" s="18">
        <v>0.36</v>
      </c>
      <c r="L20" s="12"/>
      <c r="M20" s="24"/>
      <c r="N20" s="27">
        <v>0.36</v>
      </c>
      <c r="O20" s="12"/>
      <c r="P20" s="24"/>
      <c r="Q20" s="13"/>
    </row>
    <row r="21" spans="1:20" s="56" customFormat="1" ht="15" thickBot="1" x14ac:dyDescent="0.35">
      <c r="A21" s="56" t="s">
        <v>31</v>
      </c>
      <c r="B21" s="71">
        <f>B19*(1+B20)</f>
        <v>-214.8693142857143</v>
      </c>
      <c r="C21" s="72"/>
      <c r="D21" s="73"/>
      <c r="E21" s="74">
        <f>E19*(1+E20)</f>
        <v>-235.05988439306356</v>
      </c>
      <c r="F21" s="72"/>
      <c r="G21" s="73"/>
      <c r="H21" s="75">
        <f>H19*(1+H20)</f>
        <v>-281.29567010309273</v>
      </c>
      <c r="I21" s="76"/>
      <c r="K21" s="71">
        <f>K19*(1+K20)</f>
        <v>-384.81927752555396</v>
      </c>
      <c r="L21" s="72"/>
      <c r="M21" s="73"/>
      <c r="N21" s="74">
        <f>N19*(1+N20)</f>
        <v>-185.55226313236182</v>
      </c>
      <c r="O21" s="72"/>
      <c r="P21" s="73"/>
      <c r="Q21" s="77"/>
    </row>
    <row r="22" spans="1:20" s="9" customFormat="1" x14ac:dyDescent="0.3"/>
    <row r="23" spans="1:20" s="9" customFormat="1" x14ac:dyDescent="0.3">
      <c r="R23" s="17"/>
      <c r="S23" s="23"/>
      <c r="T23" s="23"/>
    </row>
    <row r="24" spans="1:20" s="9" customFormat="1" x14ac:dyDescent="0.3">
      <c r="R24" s="17"/>
      <c r="S24" s="23"/>
      <c r="T24" s="23"/>
    </row>
    <row r="25" spans="1:20" s="9" customFormat="1" x14ac:dyDescent="0.3">
      <c r="R25" s="17"/>
      <c r="S25" s="23"/>
      <c r="T25" s="23"/>
    </row>
    <row r="26" spans="1:20" s="9" customFormat="1" x14ac:dyDescent="0.3">
      <c r="R26" s="17"/>
      <c r="S26" s="23"/>
      <c r="T26" s="23"/>
    </row>
  </sheetData>
  <mergeCells count="11">
    <mergeCell ref="N5:O5"/>
    <mergeCell ref="E4:I4"/>
    <mergeCell ref="B3:I3"/>
    <mergeCell ref="K5:L5"/>
    <mergeCell ref="B4:C4"/>
    <mergeCell ref="B5:C5"/>
    <mergeCell ref="E5:F5"/>
    <mergeCell ref="H5:I5"/>
    <mergeCell ref="K3:Q3"/>
    <mergeCell ref="K4:Q4"/>
    <mergeCell ref="A1:Q1"/>
  </mergeCells>
  <pageMargins left="0.2" right="0.2" top="0.25" bottom="0.25" header="0.3" footer="0.3"/>
  <pageSetup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Maya L Woodson Turman</dc:creator>
  <cp:lastModifiedBy>Maya L Woodson Turman</cp:lastModifiedBy>
  <cp:lastPrinted>2017-07-21T20:28:39Z</cp:lastPrinted>
  <dcterms:created xsi:type="dcterms:W3CDTF">2017-07-20T18:16:39Z</dcterms:created>
  <dcterms:modified xsi:type="dcterms:W3CDTF">2017-07-21T20:28:50Z</dcterms:modified>
</cp:coreProperties>
</file>